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0" windowWidth="22820" windowHeight="206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<sst xmlns="http://schemas.openxmlformats.org/spreadsheetml/2006/main" count="56" uniqueCount="53">
  <si>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ANALYSES &amp; DEVELOPPEMENTS IMMOBILIERS sarl</t>
  </si>
  <si>
    <t>F. Hiltbrand &amp; F. Strobino, arch hes-eaug, expert-immobilier epfl, iei.</t>
  </si>
  <si>
    <t>Rue de la Tannerie 4bis - CH 1227 Carouge</t>
  </si>
  <si>
    <t>Tél: 022 - 307 88 00 / Fax: 022-307 88 09</t>
  </si>
  <si>
    <t>info@expert-immo.ch / www.expert-immo.ch</t>
  </si>
  <si>
    <t>Logements</t>
  </si>
  <si>
    <t>Revenus et dépenses</t>
  </si>
  <si>
    <t>Variables financières</t>
  </si>
  <si>
    <t>Année d'acquisition</t>
  </si>
  <si>
    <t>Revenu locatif brut</t>
  </si>
  <si>
    <t>Taux de rendement requis TRR</t>
  </si>
  <si>
    <t>Nombre de logement</t>
  </si>
  <si>
    <t>Taux de vacance naturel</t>
  </si>
  <si>
    <t>Taux de rendement net à la vente</t>
  </si>
  <si>
    <t>Nombre de pièces</t>
  </si>
  <si>
    <t>Charges courante du propriétaire</t>
  </si>
  <si>
    <t>Taux hypothécaire fixe 10 ans</t>
  </si>
  <si>
    <t>Environnement</t>
  </si>
  <si>
    <t>Amortissement des fonds étrangers</t>
  </si>
  <si>
    <t>Inflation annuelle des revenus</t>
  </si>
  <si>
    <t>Frais d'achat /vente</t>
  </si>
  <si>
    <t>Inflation annuelle des dépenses</t>
  </si>
  <si>
    <t>Financement</t>
  </si>
  <si>
    <t>Taux d'imposition fortune</t>
  </si>
  <si>
    <t>Fonds propres</t>
  </si>
  <si>
    <t>Taux d'imposition marginal</t>
  </si>
  <si>
    <t>Impôts sur le gain en capital</t>
  </si>
  <si>
    <t>Hausses extraordinaires</t>
  </si>
  <si>
    <t>Travaux extraordinaires</t>
  </si>
  <si>
    <t>ACHAT</t>
  </si>
  <si>
    <t>VENTE</t>
  </si>
  <si>
    <t>Revenu locatif brut (RLB)</t>
  </si>
  <si>
    <t>Prix moyen par pièce</t>
  </si>
  <si>
    <t>Vacance et mauvaises créances</t>
  </si>
  <si>
    <t>Revenu locatif effectif (RLE)</t>
  </si>
  <si>
    <t>Dépenses d'exploitation</t>
  </si>
  <si>
    <t>en pourcentage de RLE</t>
  </si>
  <si>
    <t>Revenu net d'exploitation (RNE)</t>
  </si>
  <si>
    <t>Frais d'achat, frais de vente</t>
  </si>
  <si>
    <t>Intérêts hypothécaires</t>
  </si>
  <si>
    <t>Flux monétaire après financement</t>
  </si>
  <si>
    <t>Impôts sur le revenu</t>
  </si>
  <si>
    <t>Impôt sur la fortune</t>
  </si>
  <si>
    <t>Produit net vente</t>
  </si>
  <si>
    <t>Impôt sur le gain en capital</t>
  </si>
  <si>
    <t>Flux monétaire net</t>
  </si>
  <si>
    <t>Fonds étrangers, hypothèques</t>
  </si>
  <si>
    <t>Flux hors financement</t>
  </si>
  <si>
    <t>Valeur actualisée nette (VAN) @ TRR</t>
  </si>
  <si>
    <t>Taux de rendement interne (TRI) des fonds propres</t>
  </si>
  <si>
    <t>Résultat : prix d'achat conseillé</t>
  </si>
  <si>
    <t>arrondi à</t>
  </si>
  <si>
    <t>Rendement net du capital investi à l'achat</t>
  </si>
</sst>
</file>

<file path=xl/styles.xml><?xml version="1.0" encoding="utf-8"?>
<styleSheet xmlns="http://schemas.openxmlformats.org/spreadsheetml/2006/main">
  <numFmts count="17">
    <numFmt numFmtId="5" formatCode="#,##0\ &quot;CHF&quot;_);\(#,##0\ &quot;CHF&quot;\)"/>
    <numFmt numFmtId="6" formatCode="#,##0\ &quot;CHF&quot;_);[Red]\(#,##0\ &quot;CHF&quot;\)"/>
    <numFmt numFmtId="7" formatCode="#,##0.00\ &quot;CHF&quot;_);\(#,##0.00\ &quot;CHF&quot;\)"/>
    <numFmt numFmtId="8" formatCode="#,##0.00\ &quot;CHF&quot;_);[Red]\(#,##0.00\ &quot;CHF&quot;\)"/>
    <numFmt numFmtId="42" formatCode="_ * #,##0_)\ &quot;CHF&quot;_ ;_ * \(#,##0\)\ &quot;CHF&quot;_ ;_ * &quot;-&quot;_)\ &quot;CHF&quot;_ ;_ @_ "/>
    <numFmt numFmtId="41" formatCode="_ * #,##0_)\ _C_H_F_ ;_ * \(#,##0\)\ _C_H_F_ ;_ * &quot;-&quot;_)\ _C_H_F_ ;_ @_ "/>
    <numFmt numFmtId="44" formatCode="_ * #,##0.00_)\ &quot;CHF&quot;_ ;_ * \(#,##0.00\)\ &quot;CHF&quot;_ ;_ * &quot;-&quot;??_)\ &quot;CHF&quot;_ ;_ @_ "/>
    <numFmt numFmtId="43" formatCode="_ * #,##0.00_)\ _C_H_F_ ;_ * \(#,##0.00\)\ _C_H_F_ ;_ * &quot;-&quot;??_)\ _C_H_F_ ;_ @_ "/>
    <numFmt numFmtId="164" formatCode="&quot; Année &quot;0"/>
    <numFmt numFmtId="165" formatCode="[$-100C]#,##0"/>
    <numFmt numFmtId="166" formatCode="#,##0&quot; &quot;;[Red]&quot;-&quot;#,##0&quot; &quot;"/>
    <numFmt numFmtId="167" formatCode="&quot;F &quot;#,##0"/>
    <numFmt numFmtId="168" formatCode="[$-100C]0.00%"/>
    <numFmt numFmtId="169" formatCode="0.0%"/>
    <numFmt numFmtId="170" formatCode="[$-100C]General"/>
    <numFmt numFmtId="171" formatCode="[$-100C]0%"/>
    <numFmt numFmtId="172" formatCode="[$sFr.-100C]&quot; &quot;#,##0.00;[Red][$sFr.-100C]&quot; -&quot;#,##0.00"/>
  </numFmts>
  <fonts count="56">
    <font>
      <sz val="11"/>
      <color theme="1"/>
      <name val="Arial"/>
      <family val="2"/>
    </font>
    <font>
      <sz val="12"/>
      <color indexed="8"/>
      <name val="HelveticaNeue"/>
      <family val="2"/>
    </font>
    <font>
      <sz val="10"/>
      <color indexed="8"/>
      <name val="Verdana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6"/>
      <color indexed="12"/>
      <name val="Helvetica Neue Light"/>
      <family val="0"/>
    </font>
    <font>
      <sz val="10"/>
      <color indexed="12"/>
      <name val="Helvetica Neue Light"/>
      <family val="0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48"/>
      <name val="Arial"/>
      <family val="2"/>
    </font>
    <font>
      <b/>
      <sz val="12"/>
      <color indexed="18"/>
      <name val="Arial"/>
      <family val="2"/>
    </font>
    <font>
      <sz val="11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HelveticaNeue"/>
      <family val="2"/>
    </font>
    <font>
      <b/>
      <sz val="13"/>
      <color indexed="54"/>
      <name val="HelveticaNeue"/>
      <family val="2"/>
    </font>
    <font>
      <b/>
      <sz val="11"/>
      <color indexed="54"/>
      <name val="HelveticaNeue"/>
      <family val="2"/>
    </font>
    <font>
      <sz val="12"/>
      <color indexed="17"/>
      <name val="HelveticaNeue"/>
      <family val="2"/>
    </font>
    <font>
      <sz val="12"/>
      <color indexed="14"/>
      <name val="HelveticaNeue"/>
      <family val="2"/>
    </font>
    <font>
      <sz val="12"/>
      <color indexed="60"/>
      <name val="HelveticaNeue"/>
      <family val="2"/>
    </font>
    <font>
      <sz val="12"/>
      <color indexed="62"/>
      <name val="HelveticaNeue"/>
      <family val="2"/>
    </font>
    <font>
      <b/>
      <sz val="12"/>
      <color indexed="63"/>
      <name val="HelveticaNeue"/>
      <family val="2"/>
    </font>
    <font>
      <b/>
      <sz val="12"/>
      <color indexed="52"/>
      <name val="HelveticaNeue"/>
      <family val="2"/>
    </font>
    <font>
      <sz val="12"/>
      <color indexed="52"/>
      <name val="HelveticaNeue"/>
      <family val="2"/>
    </font>
    <font>
      <b/>
      <sz val="12"/>
      <color indexed="9"/>
      <name val="HelveticaNeue"/>
      <family val="2"/>
    </font>
    <font>
      <sz val="12"/>
      <color indexed="10"/>
      <name val="HelveticaNeue"/>
      <family val="2"/>
    </font>
    <font>
      <i/>
      <sz val="12"/>
      <color indexed="23"/>
      <name val="HelveticaNeue"/>
      <family val="2"/>
    </font>
    <font>
      <b/>
      <sz val="12"/>
      <color indexed="8"/>
      <name val="HelveticaNeue"/>
      <family val="2"/>
    </font>
    <font>
      <sz val="12"/>
      <color indexed="9"/>
      <name val="HelveticaNeue"/>
      <family val="2"/>
    </font>
    <font>
      <sz val="12"/>
      <color theme="1"/>
      <name val="HelveticaNeue"/>
      <family val="2"/>
    </font>
    <font>
      <sz val="12"/>
      <color theme="0"/>
      <name val="HelveticaNeue"/>
      <family val="2"/>
    </font>
    <font>
      <sz val="12"/>
      <color rgb="FFFF0000"/>
      <name val="HelveticaNeue"/>
      <family val="2"/>
    </font>
    <font>
      <b/>
      <sz val="12"/>
      <color rgb="FFFA7D00"/>
      <name val="HelveticaNeue"/>
      <family val="2"/>
    </font>
    <font>
      <sz val="12"/>
      <color rgb="FFFA7D00"/>
      <name val="HelveticaNeue"/>
      <family val="2"/>
    </font>
    <font>
      <sz val="12"/>
      <color rgb="FF3F3F76"/>
      <name val="HelveticaNeue"/>
      <family val="2"/>
    </font>
    <font>
      <sz val="10"/>
      <color theme="1"/>
      <name val="Verdana"/>
      <family val="2"/>
    </font>
    <font>
      <b/>
      <i/>
      <sz val="16"/>
      <color theme="1"/>
      <name val="Arial"/>
      <family val="2"/>
    </font>
    <font>
      <sz val="12"/>
      <color rgb="FF9C0006"/>
      <name val="HelveticaNeue"/>
      <family val="2"/>
    </font>
    <font>
      <sz val="12"/>
      <color rgb="FF9C5700"/>
      <name val="HelveticaNeue"/>
      <family val="2"/>
    </font>
    <font>
      <b/>
      <i/>
      <u val="single"/>
      <sz val="11"/>
      <color theme="1"/>
      <name val="Arial"/>
      <family val="2"/>
    </font>
    <font>
      <sz val="12"/>
      <color rgb="FF006100"/>
      <name val="HelveticaNeue"/>
      <family val="2"/>
    </font>
    <font>
      <b/>
      <sz val="12"/>
      <color rgb="FF3F3F3F"/>
      <name val="HelveticaNeue"/>
      <family val="2"/>
    </font>
    <font>
      <i/>
      <sz val="12"/>
      <color rgb="FF7F7F7F"/>
      <name val="HelveticaNeue"/>
      <family val="2"/>
    </font>
    <font>
      <b/>
      <sz val="18"/>
      <color theme="3"/>
      <name val="Calibri Light"/>
      <family val="2"/>
    </font>
    <font>
      <b/>
      <sz val="15"/>
      <color theme="3"/>
      <name val="HelveticaNeue"/>
      <family val="2"/>
    </font>
    <font>
      <b/>
      <sz val="13"/>
      <color theme="3"/>
      <name val="HelveticaNeue"/>
      <family val="2"/>
    </font>
    <font>
      <b/>
      <sz val="11"/>
      <color theme="3"/>
      <name val="HelveticaNeue"/>
      <family val="2"/>
    </font>
    <font>
      <b/>
      <sz val="12"/>
      <color theme="1"/>
      <name val="HelveticaNeue"/>
      <family val="2"/>
    </font>
    <font>
      <b/>
      <sz val="12"/>
      <color theme="0"/>
      <name val="HelveticaNeue"/>
      <family val="2"/>
    </font>
    <font>
      <b/>
      <sz val="16"/>
      <color rgb="FF0000D4"/>
      <name val="Helvetica Neue Light"/>
      <family val="0"/>
    </font>
    <font>
      <sz val="10"/>
      <color rgb="FF0000D4"/>
      <name val="Helvetica Neue Light"/>
      <family val="0"/>
    </font>
    <font>
      <b/>
      <sz val="12"/>
      <color theme="1"/>
      <name val="Arial"/>
      <family val="2"/>
    </font>
    <font>
      <sz val="10"/>
      <color rgb="FF0000D4"/>
      <name val="Arial"/>
      <family val="2"/>
    </font>
    <font>
      <sz val="10"/>
      <color theme="1"/>
      <name val="Arial"/>
      <family val="2"/>
    </font>
    <font>
      <sz val="9"/>
      <color rgb="FF3366FF"/>
      <name val="Arial"/>
      <family val="2"/>
    </font>
    <font>
      <b/>
      <sz val="12"/>
      <color rgb="FF00009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CCFF"/>
      </left>
      <right style="thin">
        <color rgb="FF00CCFF"/>
      </right>
      <top style="thin">
        <color rgb="FF00CCFF"/>
      </top>
      <bottom>
        <color indexed="63"/>
      </bottom>
    </border>
    <border>
      <left style="thin">
        <color rgb="FF00CCFF"/>
      </left>
      <right style="thin">
        <color rgb="FF00CCF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CCFF"/>
      </left>
      <right style="thin">
        <color rgb="FF00CCFF"/>
      </right>
      <top style="thin">
        <color rgb="FF000000"/>
      </top>
      <bottom>
        <color indexed="63"/>
      </bottom>
    </border>
    <border>
      <left style="thin">
        <color rgb="FF00CCFF"/>
      </left>
      <right style="thin">
        <color rgb="FF00CCFF"/>
      </right>
      <top>
        <color indexed="63"/>
      </top>
      <bottom style="thin">
        <color rgb="FF00CCFF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CCFF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170" fontId="35" fillId="0" borderId="0">
      <alignment/>
      <protection/>
    </xf>
    <xf numFmtId="171" fontId="35" fillId="0" borderId="0">
      <alignment/>
      <protection/>
    </xf>
    <xf numFmtId="0" fontId="36" fillId="0" borderId="0">
      <alignment horizontal="center"/>
      <protection/>
    </xf>
    <xf numFmtId="0" fontId="36" fillId="0" borderId="0">
      <alignment horizontal="center" textRotation="90"/>
      <protection/>
    </xf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>
      <alignment/>
      <protection/>
    </xf>
    <xf numFmtId="172" fontId="39" fillId="0" borderId="0">
      <alignment/>
      <protection/>
    </xf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5">
    <xf numFmtId="0" fontId="0" fillId="0" borderId="0" xfId="0" applyAlignment="1">
      <alignment/>
    </xf>
    <xf numFmtId="170" fontId="35" fillId="0" borderId="0" xfId="44">
      <alignment/>
      <protection/>
    </xf>
    <xf numFmtId="170" fontId="49" fillId="0" borderId="0" xfId="44" applyFont="1" applyBorder="1" applyAlignment="1">
      <alignment horizontal="left"/>
      <protection/>
    </xf>
    <xf numFmtId="170" fontId="49" fillId="0" borderId="0" xfId="44" applyFont="1" applyAlignment="1">
      <alignment horizontal="left"/>
      <protection/>
    </xf>
    <xf numFmtId="170" fontId="50" fillId="0" borderId="0" xfId="44" applyFont="1" applyBorder="1" applyAlignment="1">
      <alignment horizontal="left"/>
      <protection/>
    </xf>
    <xf numFmtId="170" fontId="50" fillId="0" borderId="0" xfId="44" applyFont="1" applyAlignment="1">
      <alignment horizontal="left"/>
      <protection/>
    </xf>
    <xf numFmtId="170" fontId="51" fillId="33" borderId="0" xfId="44" applyFont="1" applyFill="1" applyBorder="1" applyAlignment="1">
      <alignment horizontal="center"/>
      <protection/>
    </xf>
    <xf numFmtId="170" fontId="35" fillId="33" borderId="0" xfId="44" applyFill="1" applyAlignment="1">
      <alignment horizontal="center"/>
      <protection/>
    </xf>
    <xf numFmtId="170" fontId="52" fillId="0" borderId="0" xfId="44" applyFont="1" applyAlignment="1">
      <alignment horizontal="left"/>
      <protection/>
    </xf>
    <xf numFmtId="170" fontId="53" fillId="0" borderId="0" xfId="44" applyFont="1">
      <alignment/>
      <protection/>
    </xf>
    <xf numFmtId="170" fontId="52" fillId="34" borderId="0" xfId="44" applyFont="1" applyFill="1" applyAlignment="1" applyProtection="1">
      <alignment horizontal="right"/>
      <protection locked="0"/>
    </xf>
    <xf numFmtId="165" fontId="52" fillId="34" borderId="0" xfId="44" applyNumberFormat="1" applyFont="1" applyFill="1" applyAlignment="1" applyProtection="1">
      <alignment horizontal="right"/>
      <protection locked="0"/>
    </xf>
    <xf numFmtId="168" fontId="52" fillId="34" borderId="0" xfId="44" applyNumberFormat="1" applyFont="1" applyFill="1" applyAlignment="1" applyProtection="1">
      <alignment horizontal="right"/>
      <protection locked="0"/>
    </xf>
    <xf numFmtId="169" fontId="52" fillId="34" borderId="0" xfId="44" applyNumberFormat="1" applyFont="1" applyFill="1" applyAlignment="1" applyProtection="1">
      <alignment horizontal="right"/>
      <protection locked="0"/>
    </xf>
    <xf numFmtId="170" fontId="53" fillId="0" borderId="0" xfId="44" applyFont="1" applyProtection="1">
      <alignment/>
      <protection locked="0"/>
    </xf>
    <xf numFmtId="170" fontId="52" fillId="0" borderId="0" xfId="44" applyFont="1" applyAlignment="1" applyProtection="1">
      <alignment horizontal="right"/>
      <protection locked="0"/>
    </xf>
    <xf numFmtId="170" fontId="52" fillId="0" borderId="0" xfId="44" applyFont="1" applyAlignment="1" applyProtection="1">
      <alignment horizontal="left"/>
      <protection locked="0"/>
    </xf>
    <xf numFmtId="164" fontId="53" fillId="0" borderId="0" xfId="44" applyNumberFormat="1" applyFont="1" applyProtection="1">
      <alignment/>
      <protection locked="0"/>
    </xf>
    <xf numFmtId="170" fontId="35" fillId="0" borderId="0" xfId="44" applyProtection="1">
      <alignment/>
      <protection locked="0"/>
    </xf>
    <xf numFmtId="170" fontId="52" fillId="33" borderId="10" xfId="44" applyFont="1" applyFill="1" applyBorder="1" applyAlignment="1">
      <alignment horizontal="center"/>
      <protection/>
    </xf>
    <xf numFmtId="164" fontId="53" fillId="33" borderId="11" xfId="44" applyNumberFormat="1" applyFont="1" applyFill="1" applyBorder="1">
      <alignment/>
      <protection/>
    </xf>
    <xf numFmtId="164" fontId="53" fillId="33" borderId="0" xfId="44" applyNumberFormat="1" applyFont="1" applyFill="1">
      <alignment/>
      <protection/>
    </xf>
    <xf numFmtId="170" fontId="53" fillId="33" borderId="11" xfId="44" applyFont="1" applyFill="1" applyBorder="1">
      <alignment/>
      <protection/>
    </xf>
    <xf numFmtId="170" fontId="53" fillId="33" borderId="0" xfId="44" applyFont="1" applyFill="1">
      <alignment/>
      <protection/>
    </xf>
    <xf numFmtId="165" fontId="53" fillId="0" borderId="11" xfId="44" applyNumberFormat="1" applyFont="1" applyBorder="1">
      <alignment/>
      <protection/>
    </xf>
    <xf numFmtId="165" fontId="53" fillId="0" borderId="0" xfId="44" applyNumberFormat="1" applyFont="1">
      <alignment/>
      <protection/>
    </xf>
    <xf numFmtId="165" fontId="54" fillId="0" borderId="0" xfId="44" applyNumberFormat="1" applyFont="1" applyAlignment="1">
      <alignment horizontal="left"/>
      <protection/>
    </xf>
    <xf numFmtId="165" fontId="54" fillId="0" borderId="11" xfId="44" applyNumberFormat="1" applyFont="1" applyBorder="1" applyAlignment="1">
      <alignment horizontal="left"/>
      <protection/>
    </xf>
    <xf numFmtId="170" fontId="53" fillId="0" borderId="11" xfId="44" applyFont="1" applyBorder="1">
      <alignment/>
      <protection/>
    </xf>
    <xf numFmtId="166" fontId="53" fillId="0" borderId="0" xfId="44" applyNumberFormat="1" applyFont="1">
      <alignment/>
      <protection/>
    </xf>
    <xf numFmtId="166" fontId="53" fillId="0" borderId="11" xfId="44" applyNumberFormat="1" applyFont="1" applyBorder="1">
      <alignment/>
      <protection/>
    </xf>
    <xf numFmtId="165" fontId="53" fillId="0" borderId="12" xfId="44" applyNumberFormat="1" applyFont="1" applyBorder="1">
      <alignment/>
      <protection/>
    </xf>
    <xf numFmtId="165" fontId="53" fillId="0" borderId="13" xfId="44" applyNumberFormat="1" applyFont="1" applyBorder="1">
      <alignment/>
      <protection/>
    </xf>
    <xf numFmtId="168" fontId="54" fillId="0" borderId="0" xfId="44" applyNumberFormat="1" applyFont="1" applyAlignment="1">
      <alignment horizontal="left"/>
      <protection/>
    </xf>
    <xf numFmtId="168" fontId="54" fillId="0" borderId="11" xfId="44" applyNumberFormat="1" applyFont="1" applyBorder="1" applyAlignment="1">
      <alignment horizontal="left"/>
      <protection/>
    </xf>
    <xf numFmtId="165" fontId="53" fillId="0" borderId="0" xfId="44" applyNumberFormat="1" applyFont="1" applyBorder="1">
      <alignment/>
      <protection/>
    </xf>
    <xf numFmtId="166" fontId="53" fillId="0" borderId="13" xfId="44" applyNumberFormat="1" applyFont="1" applyBorder="1">
      <alignment/>
      <protection/>
    </xf>
    <xf numFmtId="166" fontId="53" fillId="0" borderId="12" xfId="44" applyNumberFormat="1" applyFont="1" applyBorder="1">
      <alignment/>
      <protection/>
    </xf>
    <xf numFmtId="166" fontId="53" fillId="0" borderId="14" xfId="44" applyNumberFormat="1" applyFont="1" applyBorder="1">
      <alignment/>
      <protection/>
    </xf>
    <xf numFmtId="166" fontId="53" fillId="0" borderId="0" xfId="44" applyNumberFormat="1" applyFont="1" applyBorder="1">
      <alignment/>
      <protection/>
    </xf>
    <xf numFmtId="170" fontId="53" fillId="0" borderId="0" xfId="44" applyFont="1" applyBorder="1">
      <alignment/>
      <protection/>
    </xf>
    <xf numFmtId="170" fontId="53" fillId="0" borderId="15" xfId="44" applyFont="1" applyBorder="1">
      <alignment/>
      <protection/>
    </xf>
    <xf numFmtId="170" fontId="53" fillId="0" borderId="12" xfId="44" applyFont="1" applyBorder="1">
      <alignment/>
      <protection/>
    </xf>
    <xf numFmtId="166" fontId="53" fillId="0" borderId="16" xfId="44" applyNumberFormat="1" applyFont="1" applyBorder="1">
      <alignment/>
      <protection/>
    </xf>
    <xf numFmtId="170" fontId="53" fillId="0" borderId="17" xfId="44" applyFont="1" applyBorder="1" applyAlignment="1">
      <alignment/>
      <protection/>
    </xf>
    <xf numFmtId="170" fontId="53" fillId="0" borderId="18" xfId="44" applyFont="1" applyBorder="1" applyAlignment="1">
      <alignment/>
      <protection/>
    </xf>
    <xf numFmtId="170" fontId="53" fillId="0" borderId="18" xfId="44" applyFont="1" applyBorder="1">
      <alignment/>
      <protection/>
    </xf>
    <xf numFmtId="168" fontId="53" fillId="0" borderId="19" xfId="44" applyNumberFormat="1" applyFont="1" applyBorder="1">
      <alignment/>
      <protection/>
    </xf>
    <xf numFmtId="167" fontId="55" fillId="33" borderId="0" xfId="44" applyNumberFormat="1" applyFont="1" applyFill="1" applyBorder="1" applyAlignment="1" applyProtection="1">
      <alignment horizontal="right"/>
      <protection locked="0"/>
    </xf>
    <xf numFmtId="168" fontId="35" fillId="33" borderId="0" xfId="45" applyNumberFormat="1" applyFont="1" applyFill="1" applyBorder="1" applyAlignment="1" applyProtection="1">
      <alignment horizontal="center"/>
      <protection/>
    </xf>
    <xf numFmtId="168" fontId="53" fillId="33" borderId="0" xfId="45" applyNumberFormat="1" applyFont="1" applyFill="1" applyBorder="1" applyAlignment="1" applyProtection="1">
      <alignment horizontal="center"/>
      <protection/>
    </xf>
    <xf numFmtId="170" fontId="53" fillId="0" borderId="20" xfId="44" applyFont="1" applyFill="1" applyBorder="1" applyAlignment="1" applyProtection="1">
      <alignment horizontal="left"/>
      <protection locked="0"/>
    </xf>
    <xf numFmtId="170" fontId="55" fillId="33" borderId="0" xfId="44" applyFont="1" applyFill="1" applyBorder="1" applyAlignment="1">
      <alignment horizontal="right"/>
      <protection/>
    </xf>
    <xf numFmtId="170" fontId="53" fillId="33" borderId="0" xfId="44" applyFont="1" applyFill="1" applyBorder="1" applyAlignment="1">
      <alignment horizontal="center"/>
      <protection/>
    </xf>
    <xf numFmtId="170" fontId="53" fillId="0" borderId="0" xfId="44" applyFont="1" applyFill="1" applyBorder="1" applyAlignment="1" applyProtection="1">
      <alignment horizontal="right"/>
      <protection locked="0"/>
    </xf>
  </cellXfs>
  <cellStyles count="53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Excel Built-in Percent" xfId="45"/>
    <cellStyle name="Heading" xfId="46"/>
    <cellStyle name="Heading1" xfId="47"/>
    <cellStyle name="Insatisfaisant" xfId="48"/>
    <cellStyle name="Comma" xfId="49"/>
    <cellStyle name="Comma [0]" xfId="50"/>
    <cellStyle name="Currency" xfId="51"/>
    <cellStyle name="Currency [0]" xfId="52"/>
    <cellStyle name="Neutre" xfId="53"/>
    <cellStyle name="Percent" xfId="54"/>
    <cellStyle name="Result" xfId="55"/>
    <cellStyle name="Result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847725</xdr:colOff>
      <xdr:row>3</xdr:row>
      <xdr:rowOff>104775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19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1" sqref="A1"/>
    </sheetView>
  </sheetViews>
  <sheetFormatPr defaultColWidth="8.875" defaultRowHeight="14.25"/>
  <cols>
    <col min="1" max="1" width="17.625" style="1" customWidth="1"/>
    <col min="2" max="2" width="13.50390625" style="1" customWidth="1"/>
    <col min="3" max="9" width="13.00390625" style="1" customWidth="1"/>
    <col min="10" max="11" width="10.625" style="1" hidden="1" customWidth="1"/>
    <col min="12" max="16384" width="11.125" style="0" customWidth="1"/>
  </cols>
  <sheetData>
    <row r="1" spans="2:11" ht="20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11" ht="12.75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</row>
    <row r="3" spans="2:11" ht="12.75">
      <c r="B3" s="4" t="s">
        <v>2</v>
      </c>
      <c r="C3" s="5"/>
      <c r="D3" s="5"/>
      <c r="E3" s="5"/>
      <c r="F3" s="5"/>
      <c r="G3" s="5"/>
      <c r="H3" s="5"/>
      <c r="I3" s="5"/>
      <c r="J3" s="5"/>
      <c r="K3" s="5"/>
    </row>
    <row r="4" spans="2:11" ht="12.75">
      <c r="B4" s="4" t="s">
        <v>3</v>
      </c>
      <c r="C4" s="5"/>
      <c r="D4" s="5"/>
      <c r="E4" s="5"/>
      <c r="F4" s="5"/>
      <c r="G4" s="5"/>
      <c r="H4" s="5"/>
      <c r="I4" s="5"/>
      <c r="J4" s="5"/>
      <c r="K4" s="5"/>
    </row>
    <row r="5" spans="2:11" ht="13.5">
      <c r="B5" s="4" t="s">
        <v>4</v>
      </c>
      <c r="C5" s="5"/>
      <c r="D5" s="5"/>
      <c r="E5" s="5"/>
      <c r="F5" s="5"/>
      <c r="G5" s="5"/>
      <c r="H5" s="5"/>
      <c r="I5" s="5"/>
      <c r="J5" s="5"/>
      <c r="K5" s="5"/>
    </row>
    <row r="6" spans="1:11" s="9" customFormat="1" ht="15.75">
      <c r="A6" s="6" t="s">
        <v>5</v>
      </c>
      <c r="B6" s="7"/>
      <c r="C6" s="7"/>
      <c r="D6" s="6" t="s">
        <v>6</v>
      </c>
      <c r="E6" s="7"/>
      <c r="F6" s="7"/>
      <c r="G6" s="6" t="s">
        <v>7</v>
      </c>
      <c r="H6" s="7"/>
      <c r="I6" s="7"/>
      <c r="J6" s="8"/>
      <c r="K6" s="8"/>
    </row>
    <row r="7" spans="1:11" s="9" customFormat="1" ht="12.75">
      <c r="A7" s="54" t="s">
        <v>8</v>
      </c>
      <c r="B7" s="54"/>
      <c r="C7" s="10">
        <f ca="1">YEAR(TODAY())</f>
        <v>2016</v>
      </c>
      <c r="D7" s="54" t="s">
        <v>9</v>
      </c>
      <c r="E7" s="54"/>
      <c r="F7" s="11">
        <v>287628</v>
      </c>
      <c r="G7" s="54" t="s">
        <v>10</v>
      </c>
      <c r="H7" s="54"/>
      <c r="I7" s="12">
        <v>0.07</v>
      </c>
      <c r="J7" s="8"/>
      <c r="K7" s="8"/>
    </row>
    <row r="8" spans="1:11" s="9" customFormat="1" ht="12.75">
      <c r="A8" s="54" t="s">
        <v>11</v>
      </c>
      <c r="B8" s="54"/>
      <c r="C8" s="10">
        <v>12</v>
      </c>
      <c r="D8" s="54" t="s">
        <v>12</v>
      </c>
      <c r="E8" s="54"/>
      <c r="F8" s="13">
        <v>0.005</v>
      </c>
      <c r="G8" s="54" t="s">
        <v>13</v>
      </c>
      <c r="H8" s="54"/>
      <c r="I8" s="12">
        <v>0.055</v>
      </c>
      <c r="J8" s="8"/>
      <c r="K8" s="8"/>
    </row>
    <row r="9" spans="1:11" s="9" customFormat="1" ht="12.75">
      <c r="A9" s="54" t="s">
        <v>14</v>
      </c>
      <c r="B9" s="54"/>
      <c r="C9" s="10">
        <v>60</v>
      </c>
      <c r="D9" s="54" t="s">
        <v>15</v>
      </c>
      <c r="E9" s="54"/>
      <c r="F9" s="13">
        <v>0.35</v>
      </c>
      <c r="G9" s="54" t="s">
        <v>16</v>
      </c>
      <c r="H9" s="54"/>
      <c r="I9" s="12">
        <v>0.0425</v>
      </c>
      <c r="J9" s="8"/>
      <c r="K9" s="8"/>
    </row>
    <row r="10" spans="4:11" s="9" customFormat="1" ht="15.75">
      <c r="D10" s="6" t="s">
        <v>17</v>
      </c>
      <c r="E10" s="7"/>
      <c r="F10" s="7"/>
      <c r="G10" s="54" t="s">
        <v>18</v>
      </c>
      <c r="H10" s="54"/>
      <c r="I10" s="12">
        <v>0.02</v>
      </c>
      <c r="J10" s="8"/>
      <c r="K10" s="8"/>
    </row>
    <row r="11" spans="4:11" s="9" customFormat="1" ht="12.75">
      <c r="D11" s="54" t="s">
        <v>19</v>
      </c>
      <c r="E11" s="54"/>
      <c r="F11" s="13">
        <v>0.015</v>
      </c>
      <c r="G11" s="54" t="s">
        <v>20</v>
      </c>
      <c r="H11" s="54"/>
      <c r="I11" s="12">
        <v>0.04</v>
      </c>
      <c r="J11" s="8"/>
      <c r="K11" s="8"/>
    </row>
    <row r="12" spans="3:11" s="9" customFormat="1" ht="15.75">
      <c r="C12" s="14"/>
      <c r="D12" s="54" t="s">
        <v>21</v>
      </c>
      <c r="E12" s="54"/>
      <c r="F12" s="13">
        <v>0.02</v>
      </c>
      <c r="G12" s="6" t="s">
        <v>22</v>
      </c>
      <c r="H12" s="7"/>
      <c r="I12" s="7"/>
      <c r="J12" s="8"/>
      <c r="K12" s="8"/>
    </row>
    <row r="13" spans="2:11" s="9" customFormat="1" ht="12.75">
      <c r="B13" s="8"/>
      <c r="C13" s="15"/>
      <c r="D13" s="54" t="s">
        <v>23</v>
      </c>
      <c r="E13" s="54"/>
      <c r="F13" s="12">
        <v>0.0008</v>
      </c>
      <c r="G13" s="54" t="s">
        <v>24</v>
      </c>
      <c r="H13" s="54"/>
      <c r="I13" s="13">
        <v>0.25</v>
      </c>
      <c r="J13" s="8"/>
      <c r="K13" s="8"/>
    </row>
    <row r="14" spans="2:11" s="9" customFormat="1" ht="12.75">
      <c r="B14" s="8"/>
      <c r="C14" s="16"/>
      <c r="D14" s="54" t="s">
        <v>25</v>
      </c>
      <c r="E14" s="54"/>
      <c r="F14" s="13">
        <v>0.4</v>
      </c>
      <c r="G14" s="16"/>
      <c r="H14" s="16"/>
      <c r="I14" s="16"/>
      <c r="J14" s="8"/>
      <c r="K14" s="8"/>
    </row>
    <row r="15" spans="2:11" s="9" customFormat="1" ht="12.75">
      <c r="B15" s="8"/>
      <c r="C15" s="16"/>
      <c r="D15" s="54" t="s">
        <v>26</v>
      </c>
      <c r="E15" s="54"/>
      <c r="F15" s="13">
        <v>0.5</v>
      </c>
      <c r="G15" s="16"/>
      <c r="H15" s="16"/>
      <c r="I15" s="16"/>
      <c r="J15" s="8"/>
      <c r="K15" s="8"/>
    </row>
    <row r="16" spans="2:11" s="9" customFormat="1" ht="12.75">
      <c r="B16" s="8"/>
      <c r="C16" s="16"/>
      <c r="D16" s="17">
        <f>D21</f>
        <v>1</v>
      </c>
      <c r="E16" s="17">
        <f>E21</f>
        <v>2</v>
      </c>
      <c r="F16" s="17">
        <f>F21</f>
        <v>3</v>
      </c>
      <c r="G16" s="17">
        <f>G21</f>
        <v>4</v>
      </c>
      <c r="H16" s="17">
        <f>H21</f>
        <v>5</v>
      </c>
      <c r="I16" s="16"/>
      <c r="J16" s="8"/>
      <c r="K16" s="8"/>
    </row>
    <row r="17" spans="3:11" s="9" customFormat="1" ht="12.75">
      <c r="C17" s="15" t="s">
        <v>27</v>
      </c>
      <c r="D17" s="11">
        <v>0</v>
      </c>
      <c r="E17" s="11">
        <v>4307</v>
      </c>
      <c r="F17" s="11">
        <v>0</v>
      </c>
      <c r="G17" s="11">
        <v>0</v>
      </c>
      <c r="H17" s="11">
        <v>0</v>
      </c>
      <c r="I17" s="16"/>
      <c r="J17" s="8"/>
      <c r="K17" s="8"/>
    </row>
    <row r="18" spans="3:11" s="9" customFormat="1" ht="12.75">
      <c r="C18" s="15" t="s">
        <v>28</v>
      </c>
      <c r="D18" s="11">
        <v>0</v>
      </c>
      <c r="E18" s="11">
        <v>0</v>
      </c>
      <c r="F18" s="11">
        <v>50000</v>
      </c>
      <c r="G18" s="11">
        <v>0</v>
      </c>
      <c r="H18" s="11">
        <v>0</v>
      </c>
      <c r="I18" s="18"/>
      <c r="J18" s="8"/>
      <c r="K18" s="8"/>
    </row>
    <row r="19" ht="48" customHeight="1"/>
    <row r="20" spans="2:11" s="9" customFormat="1" ht="12.75">
      <c r="B20" s="8"/>
      <c r="C20" s="19" t="s">
        <v>29</v>
      </c>
      <c r="G20" s="8"/>
      <c r="H20" s="8"/>
      <c r="I20" s="19" t="s">
        <v>30</v>
      </c>
      <c r="J20" s="8"/>
      <c r="K20" s="8"/>
    </row>
    <row r="21" spans="3:9" s="9" customFormat="1" ht="12.75">
      <c r="C21" s="20">
        <v>0</v>
      </c>
      <c r="D21" s="21">
        <v>1</v>
      </c>
      <c r="E21" s="21">
        <v>2</v>
      </c>
      <c r="F21" s="21">
        <v>3</v>
      </c>
      <c r="G21" s="21">
        <v>4</v>
      </c>
      <c r="H21" s="21">
        <v>5</v>
      </c>
      <c r="I21" s="20">
        <v>6</v>
      </c>
    </row>
    <row r="22" spans="3:9" s="9" customFormat="1" ht="12.75">
      <c r="C22" s="22">
        <f>C7</f>
        <v>2016</v>
      </c>
      <c r="D22" s="23">
        <f aca="true" t="shared" si="0" ref="D22:I22">C22+1</f>
        <v>2017</v>
      </c>
      <c r="E22" s="23">
        <f t="shared" si="0"/>
        <v>2018</v>
      </c>
      <c r="F22" s="23">
        <f t="shared" si="0"/>
        <v>2019</v>
      </c>
      <c r="G22" s="23">
        <f t="shared" si="0"/>
        <v>2020</v>
      </c>
      <c r="H22" s="23">
        <f t="shared" si="0"/>
        <v>2021</v>
      </c>
      <c r="I22" s="22">
        <f t="shared" si="0"/>
        <v>2022</v>
      </c>
    </row>
    <row r="23" spans="1:9" s="9" customFormat="1" ht="12.75">
      <c r="A23" s="51" t="s">
        <v>31</v>
      </c>
      <c r="B23" s="51"/>
      <c r="C23" s="24"/>
      <c r="D23" s="25">
        <f>ROUND(F7*(1+$F$11),-1)</f>
        <v>291940</v>
      </c>
      <c r="E23" s="25">
        <f>ROUND(D23*(1+$F$11),-1)+D28</f>
        <v>296320</v>
      </c>
      <c r="F23" s="25">
        <f>ROUND(E23*(1+$F$11),-1)+E28</f>
        <v>305197.179075</v>
      </c>
      <c r="G23" s="25">
        <f>ROUND(F23*(1+$F$11),-1)+F28</f>
        <v>309780</v>
      </c>
      <c r="H23" s="25">
        <f>ROUND(G23*(1+$F$11),-1)+G28</f>
        <v>314430</v>
      </c>
      <c r="I23" s="24">
        <f>ROUND(H23*(1+$F$11),-1)+H28</f>
        <v>319150</v>
      </c>
    </row>
    <row r="24" spans="1:9" s="9" customFormat="1" ht="12.75">
      <c r="A24" s="51" t="s">
        <v>32</v>
      </c>
      <c r="B24" s="51"/>
      <c r="C24" s="24"/>
      <c r="D24" s="26">
        <f aca="true" t="shared" si="1" ref="D24:I24">D23/$C$9</f>
        <v>4865.666666666667</v>
      </c>
      <c r="E24" s="26">
        <f t="shared" si="1"/>
        <v>4938.666666666667</v>
      </c>
      <c r="F24" s="26">
        <f t="shared" si="1"/>
        <v>5086.61965125</v>
      </c>
      <c r="G24" s="26">
        <f t="shared" si="1"/>
        <v>5163</v>
      </c>
      <c r="H24" s="26">
        <f t="shared" si="1"/>
        <v>5240.5</v>
      </c>
      <c r="I24" s="27">
        <f t="shared" si="1"/>
        <v>5319.166666666667</v>
      </c>
    </row>
    <row r="25" spans="1:9" s="9" customFormat="1" ht="12.75">
      <c r="A25" s="51" t="s">
        <v>33</v>
      </c>
      <c r="B25" s="51"/>
      <c r="C25" s="28"/>
      <c r="D25" s="29">
        <f aca="true" t="shared" si="2" ref="D25:I25">-D23*$F$8</f>
        <v>-1459.7</v>
      </c>
      <c r="E25" s="29">
        <f t="shared" si="2"/>
        <v>-1481.6000000000001</v>
      </c>
      <c r="F25" s="29">
        <f t="shared" si="2"/>
        <v>-1525.985895375</v>
      </c>
      <c r="G25" s="29">
        <f t="shared" si="2"/>
        <v>-1548.9</v>
      </c>
      <c r="H25" s="29">
        <f t="shared" si="2"/>
        <v>-1572.15</v>
      </c>
      <c r="I25" s="30">
        <f t="shared" si="2"/>
        <v>-1595.75</v>
      </c>
    </row>
    <row r="26" spans="1:9" s="9" customFormat="1" ht="12.75">
      <c r="A26" s="51" t="s">
        <v>34</v>
      </c>
      <c r="B26" s="51"/>
      <c r="C26" s="28"/>
      <c r="D26" s="31">
        <f aca="true" t="shared" si="3" ref="D26:I26">D23+D25</f>
        <v>290480.3</v>
      </c>
      <c r="E26" s="31">
        <f t="shared" si="3"/>
        <v>294838.4</v>
      </c>
      <c r="F26" s="31">
        <f t="shared" si="3"/>
        <v>303671.19317962497</v>
      </c>
      <c r="G26" s="31">
        <f t="shared" si="3"/>
        <v>308231.1</v>
      </c>
      <c r="H26" s="31">
        <f t="shared" si="3"/>
        <v>312857.85</v>
      </c>
      <c r="I26" s="32">
        <f t="shared" si="3"/>
        <v>317554.25</v>
      </c>
    </row>
    <row r="27" spans="1:9" s="9" customFormat="1" ht="12.75">
      <c r="A27" s="51" t="s">
        <v>28</v>
      </c>
      <c r="B27" s="51"/>
      <c r="C27" s="28"/>
      <c r="D27" s="29">
        <f>IF(D18&gt;0,-D18*(1+$F$12)^D16,0)</f>
        <v>0</v>
      </c>
      <c r="E27" s="29">
        <f>IF(E18&gt;0,-E18*(1+$F$12)^E16,0)</f>
        <v>0</v>
      </c>
      <c r="F27" s="29">
        <f>IF(F18&gt;0,-F18*(1+$F$12)^F16,0)</f>
        <v>-53060.399999999994</v>
      </c>
      <c r="G27" s="29">
        <f>IF(G18&gt;0,-G18*(1+$F$12)^G16,0)</f>
        <v>0</v>
      </c>
      <c r="H27" s="29">
        <f>IF(H18&gt;0,-H18*(1+$F$12)^H16,0)</f>
        <v>0</v>
      </c>
      <c r="I27" s="30"/>
    </row>
    <row r="28" spans="1:9" s="9" customFormat="1" ht="12.75">
      <c r="A28" s="51" t="s">
        <v>27</v>
      </c>
      <c r="B28" s="51"/>
      <c r="C28" s="28"/>
      <c r="D28" s="29">
        <f>IF(D17&gt;0,D17*(1+$F$11)^D16,0)</f>
        <v>0</v>
      </c>
      <c r="E28" s="29">
        <f>IF(E17&gt;0,E17*(1+$F$11)^E16,0)</f>
        <v>4437.179074999999</v>
      </c>
      <c r="F28" s="29">
        <f>IF(F17&gt;0,F17*(1+$F$11)^F16,0)</f>
        <v>0</v>
      </c>
      <c r="G28" s="29">
        <f>IF(G17&gt;0,G17*(1+$F$11)^G16,0)</f>
        <v>0</v>
      </c>
      <c r="H28" s="29">
        <f>IF(H17&gt;0,H17*(1+$F$11)^H16,0)</f>
        <v>0</v>
      </c>
      <c r="I28" s="30"/>
    </row>
    <row r="29" spans="1:9" s="9" customFormat="1" ht="12.75">
      <c r="A29" s="51" t="s">
        <v>35</v>
      </c>
      <c r="B29" s="51"/>
      <c r="C29" s="28"/>
      <c r="D29" s="29">
        <f>-D23*$F$9</f>
        <v>-102179</v>
      </c>
      <c r="E29" s="29">
        <f>D29*(1+$F$12)</f>
        <v>-104222.58</v>
      </c>
      <c r="F29" s="29">
        <f>E29*(1+$F$12)</f>
        <v>-106307.0316</v>
      </c>
      <c r="G29" s="29">
        <f>F29*(1+$F$12)</f>
        <v>-108433.172232</v>
      </c>
      <c r="H29" s="29">
        <f>G29*(1+$F$12)</f>
        <v>-110601.83567664</v>
      </c>
      <c r="I29" s="30">
        <f>H29*(1+$F$12)</f>
        <v>-112813.8723901728</v>
      </c>
    </row>
    <row r="30" spans="1:9" s="9" customFormat="1" ht="12.75">
      <c r="A30" s="51" t="s">
        <v>36</v>
      </c>
      <c r="B30" s="51"/>
      <c r="C30" s="28"/>
      <c r="D30" s="33">
        <f aca="true" t="shared" si="4" ref="D30:I30">-D29/D26</f>
        <v>0.35175879396984927</v>
      </c>
      <c r="E30" s="33">
        <f t="shared" si="4"/>
        <v>0.3534905222657564</v>
      </c>
      <c r="F30" s="33">
        <f t="shared" si="4"/>
        <v>0.3500728221432521</v>
      </c>
      <c r="G30" s="33">
        <f t="shared" si="4"/>
        <v>0.35179179593493326</v>
      </c>
      <c r="H30" s="33">
        <f t="shared" si="4"/>
        <v>0.3535210501403113</v>
      </c>
      <c r="I30" s="34">
        <f t="shared" si="4"/>
        <v>0.35525858145552386</v>
      </c>
    </row>
    <row r="31" spans="1:9" s="9" customFormat="1" ht="12.75">
      <c r="A31" s="51" t="s">
        <v>37</v>
      </c>
      <c r="B31" s="51"/>
      <c r="C31" s="28"/>
      <c r="D31" s="31">
        <f>SUM(D26:D29)</f>
        <v>188301.3</v>
      </c>
      <c r="E31" s="31">
        <f>E26+E29+E27</f>
        <v>190615.82</v>
      </c>
      <c r="F31" s="31">
        <f>F26+F29+F27</f>
        <v>144303.761579625</v>
      </c>
      <c r="G31" s="31">
        <f>G26+G29+G27</f>
        <v>199797.927768</v>
      </c>
      <c r="H31" s="31">
        <f>H26+H29+H27</f>
        <v>202256.01432336</v>
      </c>
      <c r="I31" s="31">
        <f>I26+I29+I27</f>
        <v>204740.3776098272</v>
      </c>
    </row>
    <row r="32" spans="1:9" s="9" customFormat="1" ht="12.75">
      <c r="A32" s="51" t="s">
        <v>38</v>
      </c>
      <c r="B32" s="51"/>
      <c r="C32" s="30">
        <f>-C47*I11</f>
        <v>-156956.31934076562</v>
      </c>
      <c r="D32" s="35"/>
      <c r="E32" s="35"/>
      <c r="F32" s="35"/>
      <c r="G32" s="35"/>
      <c r="H32" s="35"/>
      <c r="I32" s="30">
        <f>-I11*I31/I8</f>
        <v>-148902.09280714707</v>
      </c>
    </row>
    <row r="33" spans="1:9" s="9" customFormat="1" ht="12.75">
      <c r="A33" s="51" t="s">
        <v>39</v>
      </c>
      <c r="B33" s="51"/>
      <c r="C33" s="28"/>
      <c r="D33" s="29">
        <f aca="true" t="shared" si="5" ref="D33:I33">-C40*$I$9</f>
        <v>-125077.50000000001</v>
      </c>
      <c r="E33" s="29">
        <f t="shared" si="5"/>
        <v>-122575.95000000001</v>
      </c>
      <c r="F33" s="29">
        <f t="shared" si="5"/>
        <v>-120124.431</v>
      </c>
      <c r="G33" s="29">
        <f t="shared" si="5"/>
        <v>-117721.94238000001</v>
      </c>
      <c r="H33" s="29">
        <f t="shared" si="5"/>
        <v>-115367.50353239999</v>
      </c>
      <c r="I33" s="30">
        <f t="shared" si="5"/>
        <v>-113060.153461752</v>
      </c>
    </row>
    <row r="34" spans="1:9" s="9" customFormat="1" ht="12.75">
      <c r="A34" s="51" t="s">
        <v>40</v>
      </c>
      <c r="B34" s="51"/>
      <c r="C34" s="36">
        <f aca="true" t="shared" si="6" ref="C34:I34">C31+C33+C32</f>
        <v>-156956.31934076562</v>
      </c>
      <c r="D34" s="37">
        <f t="shared" si="6"/>
        <v>63223.799999999974</v>
      </c>
      <c r="E34" s="37">
        <f t="shared" si="6"/>
        <v>68039.87</v>
      </c>
      <c r="F34" s="37">
        <f t="shared" si="6"/>
        <v>24179.33057962499</v>
      </c>
      <c r="G34" s="37">
        <f t="shared" si="6"/>
        <v>82075.98538799999</v>
      </c>
      <c r="H34" s="37">
        <f t="shared" si="6"/>
        <v>86888.51079096</v>
      </c>
      <c r="I34" s="36">
        <f t="shared" si="6"/>
        <v>-57221.86865907186</v>
      </c>
    </row>
    <row r="35" spans="1:9" s="9" customFormat="1" ht="12.75">
      <c r="A35" s="51" t="s">
        <v>41</v>
      </c>
      <c r="B35" s="51"/>
      <c r="C35" s="28"/>
      <c r="D35" s="29">
        <f aca="true" t="shared" si="7" ref="D35:I35">IF(D34&gt;0,-D34*$F$14,0)</f>
        <v>-25289.51999999999</v>
      </c>
      <c r="E35" s="29">
        <f t="shared" si="7"/>
        <v>-27215.948</v>
      </c>
      <c r="F35" s="29">
        <f t="shared" si="7"/>
        <v>-9671.732231849997</v>
      </c>
      <c r="G35" s="29">
        <f t="shared" si="7"/>
        <v>-32830.394155199996</v>
      </c>
      <c r="H35" s="29">
        <f t="shared" si="7"/>
        <v>-34755.404316384</v>
      </c>
      <c r="I35" s="30">
        <f t="shared" si="7"/>
        <v>0</v>
      </c>
    </row>
    <row r="36" spans="1:9" s="9" customFormat="1" ht="12.75">
      <c r="A36" s="51" t="s">
        <v>42</v>
      </c>
      <c r="B36" s="51"/>
      <c r="C36" s="28"/>
      <c r="D36" s="29">
        <f aca="true" t="shared" si="8" ref="D36:I36">D41*-$F$13</f>
        <v>-831.8143868153122</v>
      </c>
      <c r="E36" s="29">
        <f t="shared" si="8"/>
        <v>-877.9606268153124</v>
      </c>
      <c r="F36" s="29">
        <f t="shared" si="8"/>
        <v>-923.1839420153123</v>
      </c>
      <c r="G36" s="29">
        <f t="shared" si="8"/>
        <v>-967.5027909113124</v>
      </c>
      <c r="H36" s="29">
        <f t="shared" si="8"/>
        <v>-1010.9352628293924</v>
      </c>
      <c r="I36" s="30">
        <f t="shared" si="8"/>
        <v>-1053.499085309111</v>
      </c>
    </row>
    <row r="37" spans="1:9" s="9" customFormat="1" ht="12.75">
      <c r="A37" s="51" t="s">
        <v>43</v>
      </c>
      <c r="B37" s="51"/>
      <c r="C37" s="28"/>
      <c r="D37" s="29"/>
      <c r="E37" s="29"/>
      <c r="F37" s="29"/>
      <c r="G37" s="29"/>
      <c r="H37" s="29"/>
      <c r="I37" s="30">
        <f>I31/I8-I40</f>
        <v>1115518.193295925</v>
      </c>
    </row>
    <row r="38" spans="1:9" s="9" customFormat="1" ht="12.75">
      <c r="A38" s="51" t="s">
        <v>44</v>
      </c>
      <c r="B38" s="51"/>
      <c r="C38" s="28"/>
      <c r="D38" s="29"/>
      <c r="E38" s="29"/>
      <c r="F38" s="29"/>
      <c r="G38" s="29"/>
      <c r="H38" s="29"/>
      <c r="I38" s="30">
        <f>-I37*F15</f>
        <v>-557759.0966479625</v>
      </c>
    </row>
    <row r="39" spans="1:9" s="9" customFormat="1" ht="12.75">
      <c r="A39" s="51" t="s">
        <v>45</v>
      </c>
      <c r="B39" s="51"/>
      <c r="C39" s="36">
        <f>C34+C35-C41</f>
        <v>-1137864.3028599059</v>
      </c>
      <c r="D39" s="37">
        <f>D34+D35+D36</f>
        <v>37102.46561318467</v>
      </c>
      <c r="E39" s="37">
        <f>E34+E35+E36</f>
        <v>39945.96137318468</v>
      </c>
      <c r="F39" s="37">
        <f>F34+F35+F36</f>
        <v>13584.414405759682</v>
      </c>
      <c r="G39" s="37">
        <f>G34+G35+G36</f>
        <v>48278.08844188868</v>
      </c>
      <c r="H39" s="37">
        <f>H34+H35+H36</f>
        <v>51122.17121174661</v>
      </c>
      <c r="I39" s="36">
        <f>SUM(I34:I38)</f>
        <v>499483.7289035814</v>
      </c>
    </row>
    <row r="40" spans="1:9" s="9" customFormat="1" ht="21.75" customHeight="1">
      <c r="A40" s="51" t="s">
        <v>46</v>
      </c>
      <c r="B40" s="51"/>
      <c r="C40" s="24">
        <f>ROUND(C47*(1-I13),-3)</f>
        <v>2943000</v>
      </c>
      <c r="D40" s="25">
        <f aca="true" t="shared" si="9" ref="D40:I40">C40*(1-$I$10)</f>
        <v>2884140</v>
      </c>
      <c r="E40" s="25">
        <f t="shared" si="9"/>
        <v>2826457.1999999997</v>
      </c>
      <c r="F40" s="25">
        <f t="shared" si="9"/>
        <v>2769928.056</v>
      </c>
      <c r="G40" s="25">
        <f t="shared" si="9"/>
        <v>2714529.4948799997</v>
      </c>
      <c r="H40" s="25">
        <f t="shared" si="9"/>
        <v>2660238.9049823997</v>
      </c>
      <c r="I40" s="24">
        <f t="shared" si="9"/>
        <v>2607034.1268827515</v>
      </c>
    </row>
    <row r="41" spans="1:9" s="9" customFormat="1" ht="12.75">
      <c r="A41" s="51" t="s">
        <v>24</v>
      </c>
      <c r="B41" s="51"/>
      <c r="C41" s="24">
        <f>C47-C40</f>
        <v>980907.9835191402</v>
      </c>
      <c r="D41" s="25">
        <f aca="true" t="shared" si="10" ref="D41:I41">C41+C40-D40</f>
        <v>1039767.9835191402</v>
      </c>
      <c r="E41" s="25">
        <f t="shared" si="10"/>
        <v>1097450.7835191404</v>
      </c>
      <c r="F41" s="25">
        <f t="shared" si="10"/>
        <v>1153979.9275191403</v>
      </c>
      <c r="G41" s="25">
        <f t="shared" si="10"/>
        <v>1209378.4886391405</v>
      </c>
      <c r="H41" s="25">
        <f t="shared" si="10"/>
        <v>1263669.0785367405</v>
      </c>
      <c r="I41" s="24">
        <f t="shared" si="10"/>
        <v>1316873.8566363887</v>
      </c>
    </row>
    <row r="42" spans="1:9" s="40" customFormat="1" ht="12.75">
      <c r="A42" s="51" t="s">
        <v>47</v>
      </c>
      <c r="B42" s="51"/>
      <c r="C42" s="38">
        <f>-C47+C32</f>
        <v>-4080864.3028599056</v>
      </c>
      <c r="D42" s="39">
        <f>D31</f>
        <v>188301.3</v>
      </c>
      <c r="E42" s="39">
        <f>E31</f>
        <v>190615.82</v>
      </c>
      <c r="F42" s="39">
        <f>F31</f>
        <v>144303.761579625</v>
      </c>
      <c r="G42" s="39">
        <f>G31</f>
        <v>199797.927768</v>
      </c>
      <c r="H42" s="39">
        <f>H31</f>
        <v>202256.01432336</v>
      </c>
      <c r="I42" s="38">
        <f>I31+I32+I31/I8</f>
        <v>3778390.6049813563</v>
      </c>
    </row>
    <row r="43" spans="3:9" s="40" customFormat="1" ht="12.75">
      <c r="C43" s="39"/>
      <c r="D43" s="39"/>
      <c r="E43" s="39"/>
      <c r="F43" s="39"/>
      <c r="G43" s="39"/>
      <c r="H43" s="39"/>
      <c r="I43" s="39"/>
    </row>
    <row r="44" spans="1:4" s="9" customFormat="1" ht="12.75">
      <c r="A44" s="41" t="s">
        <v>48</v>
      </c>
      <c r="B44" s="42"/>
      <c r="C44" s="42"/>
      <c r="D44" s="43">
        <f>NPV(I7,C42:I42)</f>
        <v>-753517.628326287</v>
      </c>
    </row>
    <row r="45" spans="1:4" s="9" customFormat="1" ht="12.75">
      <c r="A45" s="44" t="s">
        <v>49</v>
      </c>
      <c r="B45" s="45"/>
      <c r="C45" s="46"/>
      <c r="D45" s="47">
        <f>IRR(C39:I39)</f>
        <v>-0.08984155338658772</v>
      </c>
    </row>
    <row r="46" s="9" customFormat="1" ht="12.75"/>
    <row r="47" spans="1:9" s="9" customFormat="1" ht="15.75">
      <c r="A47" s="52" t="s">
        <v>50</v>
      </c>
      <c r="B47" s="52"/>
      <c r="C47" s="48">
        <v>3923907.98351914</v>
      </c>
      <c r="D47" s="49" t="s">
        <v>51</v>
      </c>
      <c r="E47" s="48">
        <f>ROUND(C47/5,-3)*5</f>
        <v>3925000</v>
      </c>
      <c r="F47" s="48"/>
      <c r="G47" s="49"/>
      <c r="H47" s="49"/>
      <c r="I47" s="49"/>
    </row>
    <row r="48" spans="1:9" s="9" customFormat="1" ht="12.75">
      <c r="A48" s="53" t="s">
        <v>52</v>
      </c>
      <c r="B48" s="53"/>
      <c r="C48" s="53"/>
      <c r="D48" s="50">
        <f>F7*(1-F9)/C47</f>
        <v>0.04764591850401327</v>
      </c>
      <c r="E48" s="49"/>
      <c r="F48" s="49"/>
      <c r="G48" s="49"/>
      <c r="H48" s="49"/>
      <c r="I48" s="49"/>
    </row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</sheetData>
  <sheetProtection/>
  <mergeCells count="39">
    <mergeCell ref="A7:B7"/>
    <mergeCell ref="D7:E7"/>
    <mergeCell ref="G7:H7"/>
    <mergeCell ref="A8:B8"/>
    <mergeCell ref="D8:E8"/>
    <mergeCell ref="G8:H8"/>
    <mergeCell ref="A23:B23"/>
    <mergeCell ref="A9:B9"/>
    <mergeCell ref="D9:E9"/>
    <mergeCell ref="G9:H9"/>
    <mergeCell ref="G10:H10"/>
    <mergeCell ref="D11:E11"/>
    <mergeCell ref="G11:H11"/>
    <mergeCell ref="D12:E12"/>
    <mergeCell ref="D13:E13"/>
    <mergeCell ref="G13:H13"/>
    <mergeCell ref="D14:E14"/>
    <mergeCell ref="D15:E15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2:B42"/>
    <mergeCell ref="A47:B47"/>
    <mergeCell ref="A48:C48"/>
    <mergeCell ref="A36:B36"/>
    <mergeCell ref="A37:B37"/>
    <mergeCell ref="A38:B38"/>
    <mergeCell ref="A39:B39"/>
    <mergeCell ref="A40:B40"/>
    <mergeCell ref="A41:B41"/>
  </mergeCells>
  <printOptions/>
  <pageMargins left="0.7480314960629921" right="0.7480314960629921" top="1.3775590551181103" bottom="1.3775590551181103" header="0.9838582677165353" footer="0.9838582677165353"/>
  <pageSetup fitToHeight="0" fitToWidth="0" orientation="portrait" paperSize="9" scale="5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 de Microsoft Office</cp:lastModifiedBy>
  <dcterms:created xsi:type="dcterms:W3CDTF">2016-11-11T14:50:54Z</dcterms:created>
  <dcterms:modified xsi:type="dcterms:W3CDTF">2016-11-11T14:52:06Z</dcterms:modified>
  <cp:category/>
  <cp:version/>
  <cp:contentType/>
  <cp:contentStatus/>
</cp:coreProperties>
</file>